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 defaultThemeVersion="202300"/>
  <bookViews>
    <workbookView xWindow="63360" yWindow="59616" windowWidth="47260" windowHeight="39600" activeTab="0"/>
  </bookViews>
  <sheets>
    <sheet name="Medical Deductible Calculator" sheetId="2" r:id="rId1"/>
    <sheet name="2024 Minimums (Revised)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<sst xmlns="http://schemas.openxmlformats.org/spreadsheetml/2006/main" count="153" uniqueCount="40">
  <si>
    <t>Housing Allowance</t>
  </si>
  <si>
    <t>Salary and Housing</t>
  </si>
  <si>
    <t>Effective Cash Salary</t>
  </si>
  <si>
    <t>Pension (8.5%)</t>
  </si>
  <si>
    <t>Medical (29%)</t>
  </si>
  <si>
    <t>D&amp;D (1%)</t>
  </si>
  <si>
    <t>Temporary Disability (0.5%)</t>
  </si>
  <si>
    <t>SECA Offset (7.65% Salary)*</t>
  </si>
  <si>
    <t>Study Leave Allowance</t>
  </si>
  <si>
    <t>Expense Allowance</t>
  </si>
  <si>
    <t>Study Leave Time</t>
  </si>
  <si>
    <t>2 Weeks</t>
  </si>
  <si>
    <t>Vacation Time</t>
  </si>
  <si>
    <t>4 Weeks</t>
  </si>
  <si>
    <t>Manse</t>
  </si>
  <si>
    <t>Salary</t>
  </si>
  <si>
    <t>Total with SECA Offset</t>
  </si>
  <si>
    <t>Option 1</t>
  </si>
  <si>
    <t>FSA Match</t>
  </si>
  <si>
    <t>Full FSA Match</t>
  </si>
  <si>
    <t>Option 2</t>
  </si>
  <si>
    <t>No FSA Match</t>
  </si>
  <si>
    <t>Option 3</t>
  </si>
  <si>
    <t>No FSA</t>
  </si>
  <si>
    <t>Current Terms of Call that include SECA Offset</t>
  </si>
  <si>
    <t>Calculated Medical</t>
  </si>
  <si>
    <t>No or Partial FSA Match</t>
  </si>
  <si>
    <t>Current Terms of Call that DO NOT include SECA Offset</t>
  </si>
  <si>
    <t>Pastor FSA Contribution</t>
  </si>
  <si>
    <t>Church FSA Contribution</t>
  </si>
  <si>
    <t>Pittsburgh Presbytery 2024 Medical Deductible Reconfiguration Calculator</t>
  </si>
  <si>
    <t>Calls w/ SECA</t>
  </si>
  <si>
    <t>Calls w/o SECA</t>
  </si>
  <si>
    <t>Percentage Divider</t>
  </si>
  <si>
    <t>Initial Remaining Value</t>
  </si>
  <si>
    <t>Minimum?</t>
  </si>
  <si>
    <t>Maximum?</t>
  </si>
  <si>
    <t>Total without SECA Offset</t>
  </si>
  <si>
    <t>SECA Offset (7.65%)</t>
  </si>
  <si>
    <t>Medical Reimbursment (2%) OR Enter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</si>
</sst>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>
    <font>
      <sz val="12"/>
      <color theme="1"/>
      <name val="Aptos Narrow"/>
      <family val="2"/>
      <scheme val="minor"/>
    </font>
    <font>
      <sz val="10"/>
      <name val="Arial"/>
      <family val="2"/>
    </font>
    <font>
      <sz val="12"/>
      <color theme="0"/>
      <name val="Avenir Book"/>
      <family val="2"/>
    </font>
    <font>
      <sz val="12"/>
      <color theme="1"/>
      <name val="Avenir Book"/>
      <family val="2"/>
    </font>
    <font>
      <sz val="12"/>
      <color indexed="8"/>
      <name val="Avenir Book"/>
      <family val="2"/>
    </font>
    <font>
      <sz val="14"/>
      <color theme="1"/>
      <name val="Aptos Display"/>
      <family val="2"/>
      <scheme val="major"/>
    </font>
    <font>
      <b/>
      <sz val="14"/>
      <color theme="1"/>
      <name val="Aptos Display"/>
      <family val="2"/>
      <scheme val="major"/>
    </font>
    <font>
      <sz val="14"/>
      <color indexed="8"/>
      <name val="Aptos Display"/>
      <family val="2"/>
      <scheme val="major"/>
    </font>
    <font>
      <b/>
      <u val="single"/>
      <sz val="14"/>
      <color theme="1"/>
      <name val="Aptos Display"/>
      <family val="2"/>
      <scheme val="major"/>
    </font>
    <font>
      <sz val="18"/>
      <color indexed="8"/>
      <name val="Aptos Display"/>
      <family val="2"/>
      <scheme val="major"/>
    </font>
    <font>
      <sz val="18"/>
      <color theme="1"/>
      <name val="Aptos Display"/>
      <family val="2"/>
      <scheme val="major"/>
    </font>
    <font>
      <b/>
      <sz val="26"/>
      <color theme="0"/>
      <name val="Aptos Display"/>
      <family val="2"/>
      <scheme val="major"/>
    </font>
    <font>
      <sz val="14"/>
      <color theme="0"/>
      <name val="Aptos Display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164" fontId="2" fillId="2" borderId="0" xfId="0" applyNumberFormat="1" applyFont="1" applyFill="1" applyAlignment="1">
      <alignment horizontal="left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wrapText="1"/>
    </xf>
    <xf numFmtId="164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wrapText="1"/>
    </xf>
    <xf numFmtId="164" fontId="7" fillId="3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64" fontId="7" fillId="3" borderId="5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64" fontId="5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0" fontId="8" fillId="0" borderId="0" xfId="0" applyFont="1"/>
    <xf numFmtId="164" fontId="5" fillId="0" borderId="7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wrapText="1"/>
    </xf>
    <xf numFmtId="164" fontId="7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right" wrapText="1"/>
    </xf>
    <xf numFmtId="49" fontId="9" fillId="0" borderId="2" xfId="0" applyNumberFormat="1" applyFont="1" applyBorder="1" applyAlignment="1">
      <alignment wrapText="1"/>
    </xf>
    <xf numFmtId="164" fontId="9" fillId="6" borderId="2" xfId="0" applyNumberFormat="1" applyFont="1" applyFill="1" applyBorder="1" applyAlignment="1">
      <alignment horizontal="center"/>
    </xf>
    <xf numFmtId="0" fontId="10" fillId="2" borderId="0" xfId="0" applyFont="1" applyFill="1"/>
    <xf numFmtId="164" fontId="10" fillId="0" borderId="0" xfId="0" applyNumberFormat="1" applyFont="1" applyAlignment="1">
      <alignment horizontal="center"/>
    </xf>
    <xf numFmtId="0" fontId="10" fillId="0" borderId="0" xfId="0" applyFont="1"/>
    <xf numFmtId="164" fontId="6" fillId="0" borderId="0" xfId="0" applyNumberFormat="1" applyFont="1" applyAlignment="1">
      <alignment horizontal="center"/>
    </xf>
    <xf numFmtId="0" fontId="11" fillId="7" borderId="8" xfId="0" applyFont="1" applyFill="1" applyBorder="1"/>
    <xf numFmtId="0" fontId="12" fillId="7" borderId="7" xfId="0" applyFont="1" applyFill="1" applyBorder="1"/>
    <xf numFmtId="164" fontId="12" fillId="7" borderId="7" xfId="0" applyNumberFormat="1" applyFont="1" applyFill="1" applyBorder="1" applyAlignment="1">
      <alignment horizontal="center"/>
    </xf>
    <xf numFmtId="164" fontId="12" fillId="7" borderId="6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 wrapText="1"/>
    </xf>
    <xf numFmtId="10" fontId="10" fillId="0" borderId="0" xfId="15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BE29-6DF5-3042-8775-2433E3298E58}">
  <dimension ref="A1:G44"/>
  <sheetViews>
    <sheetView tabSelected="1" zoomScale="200" zoomScaleNormal="200" workbookViewId="0" topLeftCell="A1">
      <selection activeCell="B11" sqref="B11"/>
    </sheetView>
  </sheetViews>
  <sheetFormatPr defaultColWidth="10.796875" defaultRowHeight="15"/>
  <cols>
    <col min="1" max="1" width="47.19921875" style="11" customWidth="1"/>
    <col min="2" max="2" width="13.19921875" style="11" customWidth="1"/>
    <col min="3" max="3" width="1.796875" style="21" customWidth="1"/>
    <col min="4" max="4" width="28.5" style="11" bestFit="1" customWidth="1"/>
    <col min="5" max="5" width="15.296875" style="16" bestFit="1" customWidth="1"/>
    <col min="6" max="6" width="25" style="16" bestFit="1" customWidth="1"/>
    <col min="7" max="7" width="14.69921875" style="16" customWidth="1"/>
    <col min="8" max="16384" width="10.796875" style="11" customWidth="1"/>
  </cols>
  <sheetData>
    <row r="1" spans="1:7" ht="35" thickBot="1">
      <c r="A1" s="40" t="s">
        <v>30</v>
      </c>
      <c r="B1" s="41"/>
      <c r="C1" s="41"/>
      <c r="D1" s="41"/>
      <c r="E1" s="42"/>
      <c r="F1" s="42"/>
      <c r="G1" s="43"/>
    </row>
    <row r="2" spans="5:7" s="21" customFormat="1" ht="5" customHeight="1">
      <c r="E2" s="44"/>
      <c r="F2" s="44"/>
      <c r="G2" s="44"/>
    </row>
    <row r="3" spans="3:7" ht="15">
      <c r="C3" s="11"/>
      <c r="E3" s="39" t="s">
        <v>17</v>
      </c>
      <c r="F3" s="39" t="s">
        <v>20</v>
      </c>
      <c r="G3" s="39" t="s">
        <v>22</v>
      </c>
    </row>
    <row r="4" spans="1:7" ht="15">
      <c r="A4" s="24" t="s">
        <v>24</v>
      </c>
      <c r="B4" s="12"/>
      <c r="E4" s="39" t="s">
        <v>19</v>
      </c>
      <c r="F4" s="39" t="s">
        <v>26</v>
      </c>
      <c r="G4" s="39" t="s">
        <v>23</v>
      </c>
    </row>
    <row r="5" spans="1:7" ht="15" hidden="1">
      <c r="A5" s="24"/>
      <c r="B5" s="12"/>
      <c r="D5" s="11" t="s">
        <v>34</v>
      </c>
      <c r="E5" s="39">
        <f>B23-B20-B19-B11</f>
        <v>81530.06750000002</v>
      </c>
      <c r="F5" s="39">
        <f>B23-B20-B19-F12</f>
        <v>82141.96750000001</v>
      </c>
      <c r="G5" s="39">
        <f>B23-B20-B19</f>
        <v>82641.96750000001</v>
      </c>
    </row>
    <row r="6" spans="1:7" ht="15" hidden="1">
      <c r="A6" s="24"/>
      <c r="B6" s="12"/>
      <c r="D6" s="11" t="s">
        <v>35</v>
      </c>
      <c r="E6" s="39"/>
      <c r="F6" s="39">
        <f>IF(F5&lt;63254,(F5-12500)/(1+F9-0.29),F5/(1+F9))</f>
        <v>56012.25196045006</v>
      </c>
      <c r="G6" s="39">
        <f>IF(G5&lt;63254,(G5-12500)/(1+G9-0.29),G5/(1+G9))</f>
        <v>56353.19979543131</v>
      </c>
    </row>
    <row r="7" spans="1:7" ht="15" hidden="1">
      <c r="A7" s="24"/>
      <c r="B7" s="12"/>
      <c r="D7" s="11" t="s">
        <v>36</v>
      </c>
      <c r="E7" s="39"/>
      <c r="F7" s="39">
        <f>IF(F5&gt;36000/0.29*(1+F9),(F5-36000)/(1+F9-0.29),F5/(1+F9))</f>
        <v>56012.25196045006</v>
      </c>
      <c r="G7" s="39">
        <f>IF(G5&gt;36000/0.29*(1+G9),(G5-36000)/(1+G9-0.29),G5/(1+G9))</f>
        <v>56353.19979543131</v>
      </c>
    </row>
    <row r="8" spans="1:7" s="38" customFormat="1" ht="25">
      <c r="A8" s="34" t="s">
        <v>1</v>
      </c>
      <c r="B8" s="35">
        <v>55595</v>
      </c>
      <c r="C8" s="36"/>
      <c r="D8" s="34" t="s">
        <v>1</v>
      </c>
      <c r="E8" s="37">
        <f>B8</f>
        <v>55595</v>
      </c>
      <c r="F8" s="37">
        <f>IF(F6&gt;12500/0.29,F7,F6)</f>
        <v>56012.25196045006</v>
      </c>
      <c r="G8" s="37">
        <f>IF(G6&gt;12500/0.29,G7,G6)</f>
        <v>56353.19979543131</v>
      </c>
    </row>
    <row r="9" spans="1:7" s="38" customFormat="1" ht="25" hidden="1">
      <c r="A9" s="34"/>
      <c r="B9" s="35"/>
      <c r="C9" s="36"/>
      <c r="D9" s="34" t="s">
        <v>33</v>
      </c>
      <c r="E9" s="48">
        <f>0.1+0.29+0.0765</f>
        <v>0.4665</v>
      </c>
      <c r="F9" s="48">
        <f>0.1+0.29+0.0765</f>
        <v>0.4665</v>
      </c>
      <c r="G9" s="48">
        <f>0.1+0.29+0.0765</f>
        <v>0.4665</v>
      </c>
    </row>
    <row r="10" spans="1:7" ht="19" hidden="1">
      <c r="A10" s="13" t="s">
        <v>2</v>
      </c>
      <c r="B10" s="14">
        <f>B8</f>
        <v>55595</v>
      </c>
      <c r="D10" s="13" t="s">
        <v>2</v>
      </c>
      <c r="E10" s="16">
        <f>E8</f>
        <v>55595</v>
      </c>
      <c r="F10" s="16">
        <f>F8</f>
        <v>56012.25196045006</v>
      </c>
      <c r="G10" s="16">
        <f>G8</f>
        <v>56353.19979543131</v>
      </c>
    </row>
    <row r="11" spans="1:7" ht="19">
      <c r="A11" s="13" t="s">
        <v>39</v>
      </c>
      <c r="B11" s="47">
        <f>0.02*B8</f>
        <v>1111.9</v>
      </c>
      <c r="D11" s="17" t="s">
        <v>28</v>
      </c>
      <c r="E11" s="16">
        <f>B11</f>
        <v>1111.9</v>
      </c>
      <c r="F11" s="32">
        <v>0</v>
      </c>
      <c r="G11" s="16">
        <v>0</v>
      </c>
    </row>
    <row r="12" spans="1:7" ht="19">
      <c r="A12" s="26"/>
      <c r="B12" s="27"/>
      <c r="D12" s="28" t="s">
        <v>29</v>
      </c>
      <c r="E12" s="30">
        <f>B11</f>
        <v>1111.9</v>
      </c>
      <c r="F12" s="30">
        <f>IF(F11&gt;500,F11,500)</f>
        <v>500</v>
      </c>
      <c r="G12" s="30">
        <v>0</v>
      </c>
    </row>
    <row r="13" spans="1:7" ht="19">
      <c r="A13" s="28" t="s">
        <v>3</v>
      </c>
      <c r="B13" s="29">
        <f>0.085*(B10)</f>
        <v>4725.575000000001</v>
      </c>
      <c r="D13" s="28" t="s">
        <v>3</v>
      </c>
      <c r="E13" s="30">
        <f>0.085*E10</f>
        <v>4725.575000000001</v>
      </c>
      <c r="F13" s="30">
        <f>0.085*F10</f>
        <v>4761.041416638256</v>
      </c>
      <c r="G13" s="30">
        <f>0.085*G10</f>
        <v>4790.021982611662</v>
      </c>
    </row>
    <row r="14" spans="1:7" ht="19" hidden="1">
      <c r="A14" s="28" t="s">
        <v>25</v>
      </c>
      <c r="B14" s="29">
        <f>IF(B8*0.29&gt;12500,B8*0.29,12500)</f>
        <v>16122.55</v>
      </c>
      <c r="D14" s="28" t="s">
        <v>25</v>
      </c>
      <c r="E14" s="29">
        <f>IF(E8*0.29&gt;12500,E8*0.29,12500)</f>
        <v>16122.55</v>
      </c>
      <c r="F14" s="29">
        <f>IF(F8*0.29&gt;12500,F8*0.29,12500)</f>
        <v>16243.553068530517</v>
      </c>
      <c r="G14" s="29">
        <f>IF(G8*0.29&gt;12500,G8*0.29,12500)</f>
        <v>16342.42794067508</v>
      </c>
    </row>
    <row r="15" spans="1:7" ht="19">
      <c r="A15" s="28" t="s">
        <v>4</v>
      </c>
      <c r="B15" s="29">
        <f>IF(B14&gt;36000,36000,B14)</f>
        <v>16122.55</v>
      </c>
      <c r="D15" s="28" t="s">
        <v>4</v>
      </c>
      <c r="E15" s="29">
        <f>IF(E14&gt;36000,36000,E14)</f>
        <v>16122.55</v>
      </c>
      <c r="F15" s="29">
        <f>IF(F14&gt;36000,36000,F14)</f>
        <v>16243.553068530517</v>
      </c>
      <c r="G15" s="29">
        <f>IF(G14&gt;36000,36000,G14)</f>
        <v>16342.42794067508</v>
      </c>
    </row>
    <row r="16" spans="1:7" ht="19">
      <c r="A16" s="28" t="s">
        <v>5</v>
      </c>
      <c r="B16" s="29">
        <f>0.01*(B10)</f>
        <v>555.95</v>
      </c>
      <c r="D16" s="28" t="s">
        <v>5</v>
      </c>
      <c r="E16" s="30">
        <f>0.01*E10</f>
        <v>555.95</v>
      </c>
      <c r="F16" s="30">
        <f>0.01*F10</f>
        <v>560.1225196045007</v>
      </c>
      <c r="G16" s="30">
        <f>0.01*G10</f>
        <v>563.5319979543132</v>
      </c>
    </row>
    <row r="17" spans="1:7" ht="19">
      <c r="A17" s="28" t="s">
        <v>6</v>
      </c>
      <c r="B17" s="30">
        <f>0.005*B10</f>
        <v>277.975</v>
      </c>
      <c r="D17" s="28" t="s">
        <v>6</v>
      </c>
      <c r="E17" s="30">
        <f>0.005*E10</f>
        <v>277.975</v>
      </c>
      <c r="F17" s="30">
        <f>0.005*F10</f>
        <v>280.06125980225033</v>
      </c>
      <c r="G17" s="30">
        <f>0.005*G10</f>
        <v>281.7659989771566</v>
      </c>
    </row>
    <row r="18" spans="1:7" ht="19">
      <c r="A18" s="28" t="s">
        <v>38</v>
      </c>
      <c r="B18" s="31">
        <f>0.0765*B10</f>
        <v>4253.0175</v>
      </c>
      <c r="D18" s="28" t="s">
        <v>38</v>
      </c>
      <c r="E18" s="30">
        <f>0.0765*E10</f>
        <v>4253.0175</v>
      </c>
      <c r="F18" s="30">
        <f>0.0765*F10</f>
        <v>4284.93727497443</v>
      </c>
      <c r="G18" s="30">
        <f>0.0765*G10</f>
        <v>4311.019784350496</v>
      </c>
    </row>
    <row r="19" spans="1:7" ht="19">
      <c r="A19" s="13" t="s">
        <v>8</v>
      </c>
      <c r="B19" s="47">
        <v>2000</v>
      </c>
      <c r="D19" s="13" t="s">
        <v>8</v>
      </c>
      <c r="E19" s="15">
        <f aca="true" t="shared" si="0" ref="E19:G20">$B19</f>
        <v>2000</v>
      </c>
      <c r="F19" s="15">
        <f t="shared" si="0"/>
        <v>2000</v>
      </c>
      <c r="G19" s="15">
        <f t="shared" si="0"/>
        <v>2000</v>
      </c>
    </row>
    <row r="20" spans="1:7" ht="19">
      <c r="A20" s="13" t="s">
        <v>9</v>
      </c>
      <c r="B20" s="47">
        <v>2000</v>
      </c>
      <c r="D20" s="13" t="s">
        <v>9</v>
      </c>
      <c r="E20" s="15">
        <f t="shared" si="0"/>
        <v>2000</v>
      </c>
      <c r="F20" s="15">
        <f t="shared" si="0"/>
        <v>2000</v>
      </c>
      <c r="G20" s="15">
        <f t="shared" si="0"/>
        <v>2000</v>
      </c>
    </row>
    <row r="21" spans="1:7" ht="19">
      <c r="A21" s="13" t="s">
        <v>10</v>
      </c>
      <c r="B21" s="14" t="s">
        <v>11</v>
      </c>
      <c r="D21" s="13" t="s">
        <v>10</v>
      </c>
      <c r="E21" s="14" t="s">
        <v>11</v>
      </c>
      <c r="F21" s="14" t="s">
        <v>11</v>
      </c>
      <c r="G21" s="14" t="s">
        <v>11</v>
      </c>
    </row>
    <row r="22" spans="1:7" ht="20" thickBot="1">
      <c r="A22" s="17" t="s">
        <v>12</v>
      </c>
      <c r="B22" s="18" t="s">
        <v>13</v>
      </c>
      <c r="D22" s="17" t="s">
        <v>12</v>
      </c>
      <c r="E22" s="18" t="s">
        <v>13</v>
      </c>
      <c r="F22" s="18" t="s">
        <v>13</v>
      </c>
      <c r="G22" s="18" t="s">
        <v>13</v>
      </c>
    </row>
    <row r="23" spans="1:7" ht="20" thickBot="1">
      <c r="A23" s="33" t="s">
        <v>16</v>
      </c>
      <c r="B23" s="20">
        <f>B8+B11+B13+B15+B16+B17+B18+B19+B20</f>
        <v>86641.96750000001</v>
      </c>
      <c r="D23" s="19" t="s">
        <v>16</v>
      </c>
      <c r="E23" s="25">
        <f>E8+E12+E13+E15+E16+E17+E18+E19+E20</f>
        <v>86641.96750000001</v>
      </c>
      <c r="F23" s="25">
        <f>F8+F12+F13+F15+F16+F17+F18+F19+F20</f>
        <v>86641.96750000003</v>
      </c>
      <c r="G23" s="22">
        <f>G8+G12+G13+G15+G16+G17+G18+G19+G20</f>
        <v>86641.96750000003</v>
      </c>
    </row>
    <row r="24" spans="1:4" ht="15">
      <c r="A24" s="23"/>
      <c r="B24" s="16"/>
      <c r="D24" s="23"/>
    </row>
    <row r="25" spans="5:7" ht="15">
      <c r="E25" s="39" t="s">
        <v>17</v>
      </c>
      <c r="F25" s="39" t="s">
        <v>20</v>
      </c>
      <c r="G25" s="39" t="s">
        <v>22</v>
      </c>
    </row>
    <row r="26" spans="1:7" ht="15">
      <c r="A26" s="24" t="s">
        <v>27</v>
      </c>
      <c r="B26" s="12"/>
      <c r="E26" s="39" t="s">
        <v>19</v>
      </c>
      <c r="F26" s="39" t="s">
        <v>26</v>
      </c>
      <c r="G26" s="39" t="s">
        <v>23</v>
      </c>
    </row>
    <row r="27" spans="1:7" s="38" customFormat="1" ht="24" hidden="1">
      <c r="A27" s="24"/>
      <c r="B27" s="12"/>
      <c r="C27" s="21"/>
      <c r="D27" s="11" t="s">
        <v>34</v>
      </c>
      <c r="E27" s="39">
        <f>B44-B41-B40-B33</f>
        <v>81469.29</v>
      </c>
      <c r="F27" s="39">
        <f>B44-B41-B40-F34</f>
        <v>82141.51</v>
      </c>
      <c r="G27" s="39">
        <f>B44-B41-B40</f>
        <v>82641.51</v>
      </c>
    </row>
    <row r="28" spans="1:7" ht="15" hidden="1">
      <c r="A28" s="24"/>
      <c r="B28" s="12"/>
      <c r="D28" s="11" t="s">
        <v>35</v>
      </c>
      <c r="E28" s="39"/>
      <c r="F28" s="39">
        <f>IF(F27&lt;63254,(F27-12500)/(1+F31-0.29),F27/(1+F31))</f>
        <v>59094.61151079136</v>
      </c>
      <c r="G28" s="39">
        <f>IF(G27&lt;63254,(G27-12500)/(1+G31-0.29),G27/(1+G31))</f>
        <v>59454.32374100718</v>
      </c>
    </row>
    <row r="29" spans="1:7" ht="15" hidden="1">
      <c r="A29" s="24"/>
      <c r="B29" s="12"/>
      <c r="D29" s="11" t="s">
        <v>36</v>
      </c>
      <c r="E29" s="39"/>
      <c r="F29" s="39">
        <f>IF(F27&gt;36000/0.29*(1+F31),(F27-36000)/(1+F31-0.29),F27/(1+F31))</f>
        <v>59094.61151079136</v>
      </c>
      <c r="G29" s="39">
        <f>IF(G27&gt;36000/0.29*(1+G31),(G27-36000)/(1+G31-0.29),G27/(1+G31))</f>
        <v>59454.32374100718</v>
      </c>
    </row>
    <row r="30" spans="1:7" ht="25">
      <c r="A30" s="34" t="s">
        <v>1</v>
      </c>
      <c r="B30" s="35">
        <v>58611</v>
      </c>
      <c r="C30" s="36"/>
      <c r="D30" s="34" t="s">
        <v>1</v>
      </c>
      <c r="E30" s="37">
        <f>B30</f>
        <v>58611</v>
      </c>
      <c r="F30" s="37">
        <f>IF(F28&gt;12500/0.29,F29,F28)</f>
        <v>59094.61151079136</v>
      </c>
      <c r="G30" s="37">
        <f>IF(G28&gt;12500/0.29,G29,G28)</f>
        <v>59454.32374100718</v>
      </c>
    </row>
    <row r="31" spans="1:7" ht="25" hidden="1">
      <c r="A31" s="34"/>
      <c r="B31" s="35"/>
      <c r="C31" s="36"/>
      <c r="D31" s="34" t="s">
        <v>33</v>
      </c>
      <c r="E31" s="48">
        <f>0.1+0.29</f>
        <v>0.39</v>
      </c>
      <c r="F31" s="48">
        <f>0.1+0.29</f>
        <v>0.39</v>
      </c>
      <c r="G31" s="48">
        <f>0.1+0.29</f>
        <v>0.39</v>
      </c>
    </row>
    <row r="32" spans="1:7" ht="19" hidden="1">
      <c r="A32" s="13" t="s">
        <v>2</v>
      </c>
      <c r="B32" s="14">
        <f>B30</f>
        <v>58611</v>
      </c>
      <c r="D32" s="13" t="s">
        <v>2</v>
      </c>
      <c r="E32" s="16">
        <f>E30</f>
        <v>58611</v>
      </c>
      <c r="F32" s="16">
        <f>F30</f>
        <v>59094.61151079136</v>
      </c>
      <c r="G32" s="16">
        <f>G30</f>
        <v>59454.32374100718</v>
      </c>
    </row>
    <row r="33" spans="1:7" ht="19">
      <c r="A33" s="13" t="s">
        <v>39</v>
      </c>
      <c r="B33" s="47">
        <f>0.02*B30</f>
        <v>1172.22</v>
      </c>
      <c r="D33" s="17" t="s">
        <v>28</v>
      </c>
      <c r="E33" s="16">
        <f>B33</f>
        <v>1172.22</v>
      </c>
      <c r="F33" s="32">
        <v>0</v>
      </c>
      <c r="G33" s="16">
        <v>0</v>
      </c>
    </row>
    <row r="34" spans="1:7" ht="19">
      <c r="A34" s="26"/>
      <c r="B34" s="27"/>
      <c r="D34" s="28" t="s">
        <v>29</v>
      </c>
      <c r="E34" s="30">
        <f>B33</f>
        <v>1172.22</v>
      </c>
      <c r="F34" s="30">
        <f>IF(F33&gt;500,F33,500)</f>
        <v>500</v>
      </c>
      <c r="G34" s="30">
        <v>0</v>
      </c>
    </row>
    <row r="35" spans="1:7" ht="19">
      <c r="A35" s="28" t="s">
        <v>3</v>
      </c>
      <c r="B35" s="29">
        <f>0.085*(B32)</f>
        <v>4981.935</v>
      </c>
      <c r="D35" s="28" t="s">
        <v>3</v>
      </c>
      <c r="E35" s="30">
        <f>0.085*E32</f>
        <v>4981.935</v>
      </c>
      <c r="F35" s="30">
        <f>0.085*F32</f>
        <v>5023.041978417265</v>
      </c>
      <c r="G35" s="30">
        <f>0.085*G32</f>
        <v>5053.617517985611</v>
      </c>
    </row>
    <row r="36" spans="1:7" ht="19">
      <c r="A36" s="28" t="s">
        <v>25</v>
      </c>
      <c r="B36" s="29">
        <f>IF(B30*0.29&gt;12500,B30*0.29,12500)</f>
        <v>16997.19</v>
      </c>
      <c r="D36" s="28" t="s">
        <v>25</v>
      </c>
      <c r="E36" s="29">
        <f>IF(E30*0.29&gt;12500,E30*0.29,12500)</f>
        <v>16997.19</v>
      </c>
      <c r="F36" s="29">
        <f>IF(F30*0.29&gt;12500,F30*0.29,12500)</f>
        <v>17137.437338129494</v>
      </c>
      <c r="G36" s="29">
        <f>IF(G30*0.29&gt;12500,G30*0.29,12500)</f>
        <v>17241.75388489208</v>
      </c>
    </row>
    <row r="37" spans="1:7" ht="19">
      <c r="A37" s="28" t="s">
        <v>4</v>
      </c>
      <c r="B37" s="29">
        <f>IF(B36&gt;36000,36000,B36)</f>
        <v>16997.19</v>
      </c>
      <c r="D37" s="28" t="s">
        <v>4</v>
      </c>
      <c r="E37" s="29">
        <f>IF(E36&gt;36000,36000,E36)</f>
        <v>16997.19</v>
      </c>
      <c r="F37" s="29">
        <f>IF(F36&gt;36000,36000,F36)</f>
        <v>17137.437338129494</v>
      </c>
      <c r="G37" s="29">
        <f>IF(G36&gt;36000,36000,G36)</f>
        <v>17241.75388489208</v>
      </c>
    </row>
    <row r="38" spans="1:7" ht="19">
      <c r="A38" s="28" t="s">
        <v>5</v>
      </c>
      <c r="B38" s="29">
        <f>0.01*(B32)</f>
        <v>586.11</v>
      </c>
      <c r="D38" s="28" t="s">
        <v>5</v>
      </c>
      <c r="E38" s="30">
        <f>0.01*E32</f>
        <v>586.11</v>
      </c>
      <c r="F38" s="30">
        <f>0.01*F32</f>
        <v>590.9461151079136</v>
      </c>
      <c r="G38" s="30">
        <f>0.01*G32</f>
        <v>594.5432374100718</v>
      </c>
    </row>
    <row r="39" spans="1:7" ht="19">
      <c r="A39" s="28" t="s">
        <v>6</v>
      </c>
      <c r="B39" s="30">
        <f>0.005*B32</f>
        <v>293.055</v>
      </c>
      <c r="D39" s="28" t="s">
        <v>6</v>
      </c>
      <c r="E39" s="30">
        <f>0.005*E32</f>
        <v>293.055</v>
      </c>
      <c r="F39" s="30">
        <f>0.005*F32</f>
        <v>295.4730575539568</v>
      </c>
      <c r="G39" s="30">
        <f>0.005*G32</f>
        <v>297.2716187050359</v>
      </c>
    </row>
    <row r="40" spans="1:7" ht="19">
      <c r="A40" s="13" t="s">
        <v>8</v>
      </c>
      <c r="B40" s="47">
        <v>2000</v>
      </c>
      <c r="D40" s="13" t="s">
        <v>8</v>
      </c>
      <c r="E40" s="15">
        <f aca="true" t="shared" si="1" ref="E40:G41">$B40</f>
        <v>2000</v>
      </c>
      <c r="F40" s="15">
        <f t="shared" si="1"/>
        <v>2000</v>
      </c>
      <c r="G40" s="15">
        <f t="shared" si="1"/>
        <v>2000</v>
      </c>
    </row>
    <row r="41" spans="1:7" ht="19">
      <c r="A41" s="13" t="s">
        <v>9</v>
      </c>
      <c r="B41" s="47">
        <v>2000</v>
      </c>
      <c r="D41" s="13" t="s">
        <v>9</v>
      </c>
      <c r="E41" s="15">
        <f t="shared" si="1"/>
        <v>2000</v>
      </c>
      <c r="F41" s="15">
        <f t="shared" si="1"/>
        <v>2000</v>
      </c>
      <c r="G41" s="15">
        <f t="shared" si="1"/>
        <v>2000</v>
      </c>
    </row>
    <row r="42" spans="1:7" ht="19">
      <c r="A42" s="13" t="s">
        <v>10</v>
      </c>
      <c r="B42" s="14" t="s">
        <v>11</v>
      </c>
      <c r="D42" s="13" t="s">
        <v>10</v>
      </c>
      <c r="E42" s="14" t="s">
        <v>11</v>
      </c>
      <c r="F42" s="14" t="s">
        <v>11</v>
      </c>
      <c r="G42" s="14" t="s">
        <v>11</v>
      </c>
    </row>
    <row r="43" spans="1:7" ht="20" thickBot="1">
      <c r="A43" s="17" t="s">
        <v>12</v>
      </c>
      <c r="B43" s="18" t="s">
        <v>13</v>
      </c>
      <c r="D43" s="17" t="s">
        <v>12</v>
      </c>
      <c r="E43" s="18" t="s">
        <v>13</v>
      </c>
      <c r="F43" s="18" t="s">
        <v>13</v>
      </c>
      <c r="G43" s="18" t="s">
        <v>13</v>
      </c>
    </row>
    <row r="44" spans="1:7" ht="20" thickBot="1">
      <c r="A44" s="33" t="s">
        <v>37</v>
      </c>
      <c r="B44" s="20">
        <f>B30+B33+B35+B37+B38+B39+B40+B41</f>
        <v>86641.51</v>
      </c>
      <c r="D44" s="33" t="s">
        <v>37</v>
      </c>
      <c r="E44" s="20">
        <f>E30+E34+E35+E37+E38+E39+E40+E41</f>
        <v>86641.51</v>
      </c>
      <c r="F44" s="20">
        <f>F30+F34+F35+F37+F38+F39+F40+F41</f>
        <v>86641.50999999998</v>
      </c>
      <c r="G44" s="20">
        <f>G30+G34+G35+G37+G38+G39+G40+G41</f>
        <v>86641.51</v>
      </c>
    </row>
  </sheetData>
  <dataValidations count="1">
    <dataValidation type="custom" allowBlank="1" showInputMessage="1" showErrorMessage="1" errorTitle="Too Great of Contribution" error="This column should only be used if the Pastor is contributing less than 2% of their effective cash salary to an FSA.  If they are contributing 2% or more, please use the numbers under Option 1" sqref="F33 F11">
      <formula1>F11&lt;E11</formula1>
    </dataValidation>
  </dataValidation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D41B-528E-5F49-825B-5BF93FD3D8FD}">
  <dimension ref="A1:E31"/>
  <sheetViews>
    <sheetView zoomScale="125" zoomScaleNormal="125" workbookViewId="0" topLeftCell="A1">
      <selection activeCell="C26" sqref="C26"/>
    </sheetView>
  </sheetViews>
  <sheetFormatPr defaultColWidth="10.796875" defaultRowHeight="15"/>
  <cols>
    <col min="1" max="1" width="26.296875" style="2" customWidth="1"/>
    <col min="2" max="2" width="15.796875" style="2" bestFit="1" customWidth="1"/>
    <col min="3" max="3" width="15.796875" style="2" customWidth="1"/>
    <col min="4" max="5" width="16.796875" style="2" bestFit="1" customWidth="1"/>
    <col min="6" max="16384" width="10.796875" style="2" customWidth="1"/>
  </cols>
  <sheetData>
    <row r="1" spans="1:5" ht="15">
      <c r="A1" s="1" t="s">
        <v>0</v>
      </c>
      <c r="B1" s="46" t="s">
        <v>32</v>
      </c>
      <c r="C1" s="46" t="s">
        <v>32</v>
      </c>
      <c r="D1" s="45" t="s">
        <v>31</v>
      </c>
      <c r="E1" s="46" t="s">
        <v>32</v>
      </c>
    </row>
    <row r="2" spans="2:5" ht="15">
      <c r="B2" s="45" t="s">
        <v>18</v>
      </c>
      <c r="C2" s="45" t="s">
        <v>21</v>
      </c>
      <c r="D2" s="45" t="s">
        <v>18</v>
      </c>
      <c r="E2" s="45" t="s">
        <v>21</v>
      </c>
    </row>
    <row r="3" spans="1:5" ht="18">
      <c r="A3" s="4" t="s">
        <v>1</v>
      </c>
      <c r="B3" s="5">
        <v>58611</v>
      </c>
      <c r="C3" s="5">
        <v>59454</v>
      </c>
      <c r="D3" s="5">
        <v>55595</v>
      </c>
      <c r="E3" s="5">
        <v>56353</v>
      </c>
    </row>
    <row r="4" spans="1:5" ht="18" hidden="1">
      <c r="A4" s="4" t="s">
        <v>2</v>
      </c>
      <c r="B4" s="5">
        <f>B3</f>
        <v>58611</v>
      </c>
      <c r="C4" s="5">
        <f>C3</f>
        <v>59454</v>
      </c>
      <c r="D4" s="5">
        <f>D3</f>
        <v>55595</v>
      </c>
      <c r="E4" s="5">
        <f>E3</f>
        <v>56353</v>
      </c>
    </row>
    <row r="5" spans="1:5" ht="18">
      <c r="A5" s="4" t="s">
        <v>29</v>
      </c>
      <c r="B5" s="6">
        <f>0.02*B4</f>
        <v>1172.22</v>
      </c>
      <c r="C5" s="6">
        <v>0</v>
      </c>
      <c r="D5" s="6">
        <f>0.02*D4</f>
        <v>1111.9</v>
      </c>
      <c r="E5" s="6">
        <v>0</v>
      </c>
    </row>
    <row r="6" spans="1:5" ht="18">
      <c r="A6" s="4" t="s">
        <v>3</v>
      </c>
      <c r="B6" s="6">
        <f>0.085*(B4)</f>
        <v>4981.935</v>
      </c>
      <c r="C6" s="6">
        <f>0.085*(C4)</f>
        <v>5053.59</v>
      </c>
      <c r="D6" s="6">
        <f>0.085*(D4)</f>
        <v>4725.575000000001</v>
      </c>
      <c r="E6" s="6">
        <f>0.085*(E4)</f>
        <v>4790.005</v>
      </c>
    </row>
    <row r="7" spans="1:5" ht="18">
      <c r="A7" s="4" t="s">
        <v>4</v>
      </c>
      <c r="B7" s="6">
        <f>0.29*(B4)</f>
        <v>16997.19</v>
      </c>
      <c r="C7" s="6">
        <f>0.29*(C4)</f>
        <v>17241.66</v>
      </c>
      <c r="D7" s="6">
        <f>0.29*(D4)</f>
        <v>16122.55</v>
      </c>
      <c r="E7" s="6">
        <f>0.29*(E4)</f>
        <v>16342.369999999999</v>
      </c>
    </row>
    <row r="8" spans="1:5" ht="18">
      <c r="A8" s="4" t="s">
        <v>5</v>
      </c>
      <c r="B8" s="6">
        <f>0.01*(B4)</f>
        <v>586.11</v>
      </c>
      <c r="C8" s="6">
        <f>0.01*(C4)</f>
        <v>594.54</v>
      </c>
      <c r="D8" s="6">
        <f>0.01*(D4)</f>
        <v>555.95</v>
      </c>
      <c r="E8" s="6">
        <f>0.01*(E4)</f>
        <v>563.53</v>
      </c>
    </row>
    <row r="9" spans="1:5" ht="18">
      <c r="A9" s="4" t="s">
        <v>6</v>
      </c>
      <c r="B9" s="7">
        <f>0.005*B4</f>
        <v>293.055</v>
      </c>
      <c r="C9" s="7">
        <f>0.005*C4</f>
        <v>297.27</v>
      </c>
      <c r="D9" s="7">
        <f>0.005*D4</f>
        <v>277.975</v>
      </c>
      <c r="E9" s="7">
        <f>0.005*E4</f>
        <v>281.765</v>
      </c>
    </row>
    <row r="10" spans="1:5" ht="36">
      <c r="A10" s="4" t="s">
        <v>7</v>
      </c>
      <c r="B10" s="5">
        <f>0*B4</f>
        <v>0</v>
      </c>
      <c r="C10" s="5">
        <f>0*C4</f>
        <v>0</v>
      </c>
      <c r="D10" s="5">
        <f>0.0765*D4</f>
        <v>4253.0175</v>
      </c>
      <c r="E10" s="5">
        <f>0.0765*E4</f>
        <v>4311.0045</v>
      </c>
    </row>
    <row r="11" spans="1:5" ht="18">
      <c r="A11" s="4" t="s">
        <v>8</v>
      </c>
      <c r="B11" s="6">
        <v>2000</v>
      </c>
      <c r="C11" s="6">
        <v>2000</v>
      </c>
      <c r="D11" s="6">
        <v>2000</v>
      </c>
      <c r="E11" s="6">
        <v>2000</v>
      </c>
    </row>
    <row r="12" spans="1:5" ht="18">
      <c r="A12" s="4" t="s">
        <v>9</v>
      </c>
      <c r="B12" s="6">
        <v>2000</v>
      </c>
      <c r="C12" s="6">
        <v>2000</v>
      </c>
      <c r="D12" s="6">
        <v>2000</v>
      </c>
      <c r="E12" s="6">
        <v>2000</v>
      </c>
    </row>
    <row r="13" spans="1:5" ht="18">
      <c r="A13" s="4" t="s">
        <v>10</v>
      </c>
      <c r="B13" s="5" t="s">
        <v>11</v>
      </c>
      <c r="C13" s="5" t="s">
        <v>11</v>
      </c>
      <c r="D13" s="5" t="s">
        <v>11</v>
      </c>
      <c r="E13" s="5" t="s">
        <v>11</v>
      </c>
    </row>
    <row r="14" spans="1:5" ht="18">
      <c r="A14" s="4" t="s">
        <v>12</v>
      </c>
      <c r="B14" s="5" t="s">
        <v>13</v>
      </c>
      <c r="C14" s="5" t="s">
        <v>13</v>
      </c>
      <c r="D14" s="5" t="s">
        <v>13</v>
      </c>
      <c r="E14" s="5" t="s">
        <v>13</v>
      </c>
    </row>
    <row r="15" spans="1:5" ht="15">
      <c r="A15" s="8"/>
      <c r="B15" s="9">
        <f>(B3+B5+B6+B7+B8+B9+B10+B11+B12)</f>
        <v>86641.51</v>
      </c>
      <c r="C15" s="9">
        <f>(C3+C5+C6+C7+C8+C9+C10+C11+C12)</f>
        <v>86641.06</v>
      </c>
      <c r="D15" s="9">
        <f>(D3+D5+D6+D7+D8+D9+D10+D11+D12)</f>
        <v>86641.96750000001</v>
      </c>
      <c r="E15" s="9">
        <f>(E3+E5+E6+E7+E8+E9+E10+E11+E12)</f>
        <v>86641.6745</v>
      </c>
    </row>
    <row r="16" spans="2:5" ht="15">
      <c r="B16" s="10"/>
      <c r="C16" s="10"/>
      <c r="D16" s="3"/>
      <c r="E16" s="3"/>
    </row>
    <row r="17" spans="1:5" ht="15">
      <c r="A17" s="1" t="s">
        <v>14</v>
      </c>
      <c r="B17" s="46" t="s">
        <v>32</v>
      </c>
      <c r="C17" s="46" t="s">
        <v>32</v>
      </c>
      <c r="D17" s="45" t="s">
        <v>31</v>
      </c>
      <c r="E17" s="46" t="s">
        <v>32</v>
      </c>
    </row>
    <row r="18" spans="2:5" ht="15">
      <c r="B18" s="45" t="s">
        <v>18</v>
      </c>
      <c r="C18" s="45" t="s">
        <v>21</v>
      </c>
      <c r="D18" s="45" t="s">
        <v>18</v>
      </c>
      <c r="E18" s="45" t="s">
        <v>21</v>
      </c>
    </row>
    <row r="19" spans="1:5" ht="18">
      <c r="A19" s="4" t="s">
        <v>15</v>
      </c>
      <c r="B19" s="5">
        <f>0.7*B3</f>
        <v>41027.7</v>
      </c>
      <c r="C19" s="5">
        <f>C3*0.7</f>
        <v>41617.799999999996</v>
      </c>
      <c r="D19" s="5">
        <f>D3*0.7</f>
        <v>38916.5</v>
      </c>
      <c r="E19" s="5">
        <f>E3*0.7</f>
        <v>39447.1</v>
      </c>
    </row>
    <row r="20" spans="1:5" ht="18">
      <c r="A20" s="4" t="s">
        <v>2</v>
      </c>
      <c r="B20" s="5">
        <f>B19/0.7</f>
        <v>58611</v>
      </c>
      <c r="C20" s="5">
        <v>59454</v>
      </c>
      <c r="D20" s="5">
        <f>D19/0.7</f>
        <v>55595</v>
      </c>
      <c r="E20" s="5">
        <f>E19/0.7</f>
        <v>56353</v>
      </c>
    </row>
    <row r="21" spans="1:5" ht="18">
      <c r="A21" s="4" t="s">
        <v>29</v>
      </c>
      <c r="B21" s="6">
        <f>0.02*B20</f>
        <v>1172.22</v>
      </c>
      <c r="C21" s="6">
        <v>0</v>
      </c>
      <c r="D21" s="6">
        <f>0.02*D20</f>
        <v>1111.9</v>
      </c>
      <c r="E21" s="6">
        <v>0</v>
      </c>
    </row>
    <row r="22" spans="1:5" ht="18">
      <c r="A22" s="4" t="s">
        <v>3</v>
      </c>
      <c r="B22" s="6">
        <f>0.085*(B20)</f>
        <v>4981.935</v>
      </c>
      <c r="C22" s="6">
        <f>0.085*(C20)</f>
        <v>5053.59</v>
      </c>
      <c r="D22" s="6">
        <f>0.085*(D20)</f>
        <v>4725.575000000001</v>
      </c>
      <c r="E22" s="6">
        <f>0.085*(E20)</f>
        <v>4790.005</v>
      </c>
    </row>
    <row r="23" spans="1:5" ht="18">
      <c r="A23" s="4" t="s">
        <v>4</v>
      </c>
      <c r="B23" s="6">
        <f>0.29*(B20)</f>
        <v>16997.19</v>
      </c>
      <c r="C23" s="6">
        <f>0.29*(C20)</f>
        <v>17241.66</v>
      </c>
      <c r="D23" s="6">
        <f>0.29*(D20)</f>
        <v>16122.55</v>
      </c>
      <c r="E23" s="6">
        <f>0.29*(E20)</f>
        <v>16342.369999999999</v>
      </c>
    </row>
    <row r="24" spans="1:5" ht="18">
      <c r="A24" s="4" t="s">
        <v>5</v>
      </c>
      <c r="B24" s="6">
        <f>0.01*(B20)</f>
        <v>586.11</v>
      </c>
      <c r="C24" s="6">
        <f>0.01*(C20)</f>
        <v>594.54</v>
      </c>
      <c r="D24" s="6">
        <f>0.01*(D20)</f>
        <v>555.95</v>
      </c>
      <c r="E24" s="6">
        <f>0.01*(E20)</f>
        <v>563.53</v>
      </c>
    </row>
    <row r="25" spans="1:5" ht="18">
      <c r="A25" s="4" t="s">
        <v>6</v>
      </c>
      <c r="B25" s="7">
        <f>0.005*B20</f>
        <v>293.055</v>
      </c>
      <c r="C25" s="7">
        <f>0.005*C20</f>
        <v>297.27</v>
      </c>
      <c r="D25" s="7">
        <f>0.005*D20</f>
        <v>277.975</v>
      </c>
      <c r="E25" s="7">
        <f>0.005*E20</f>
        <v>281.765</v>
      </c>
    </row>
    <row r="26" spans="1:5" ht="36">
      <c r="A26" s="4" t="s">
        <v>7</v>
      </c>
      <c r="B26" s="5">
        <f>0*B20</f>
        <v>0</v>
      </c>
      <c r="C26" s="5">
        <f>0*C20</f>
        <v>0</v>
      </c>
      <c r="D26" s="5">
        <f>0.0765*D20</f>
        <v>4253.0175</v>
      </c>
      <c r="E26" s="5">
        <f>0.0765*E20</f>
        <v>4311.0045</v>
      </c>
    </row>
    <row r="27" spans="1:5" ht="18">
      <c r="A27" s="4" t="s">
        <v>8</v>
      </c>
      <c r="B27" s="6">
        <v>2000</v>
      </c>
      <c r="C27" s="6">
        <v>2000</v>
      </c>
      <c r="D27" s="6">
        <v>2000</v>
      </c>
      <c r="E27" s="6">
        <v>2000</v>
      </c>
    </row>
    <row r="28" spans="1:5" ht="18">
      <c r="A28" s="4" t="s">
        <v>9</v>
      </c>
      <c r="B28" s="6">
        <v>2000</v>
      </c>
      <c r="C28" s="6">
        <v>2000</v>
      </c>
      <c r="D28" s="6">
        <v>2000</v>
      </c>
      <c r="E28" s="6">
        <v>2000</v>
      </c>
    </row>
    <row r="29" spans="1:5" ht="18">
      <c r="A29" s="4" t="s">
        <v>10</v>
      </c>
      <c r="B29" s="5" t="s">
        <v>11</v>
      </c>
      <c r="C29" s="5" t="s">
        <v>11</v>
      </c>
      <c r="D29" s="5" t="s">
        <v>11</v>
      </c>
      <c r="E29" s="5" t="s">
        <v>11</v>
      </c>
    </row>
    <row r="30" spans="1:5" ht="18">
      <c r="A30" s="4" t="s">
        <v>12</v>
      </c>
      <c r="B30" s="5" t="s">
        <v>13</v>
      </c>
      <c r="C30" s="5" t="s">
        <v>13</v>
      </c>
      <c r="D30" s="5" t="s">
        <v>13</v>
      </c>
      <c r="E30" s="5" t="s">
        <v>13</v>
      </c>
    </row>
    <row r="31" spans="1:5" ht="15">
      <c r="A31" s="8"/>
      <c r="B31" s="9">
        <f>(B19+B21+B22+B23+B24+B25+B26+B27+B28)</f>
        <v>69058.20999999999</v>
      </c>
      <c r="C31" s="9">
        <f>(C19+C21+C22+C23+C24+C25+C26+C27+C28)</f>
        <v>68804.86</v>
      </c>
      <c r="D31" s="9">
        <f>(D19+D21+D22+D23+D24+D25+D26+D27+D28)</f>
        <v>69963.4675</v>
      </c>
      <c r="E31" s="9">
        <f>(E19+E21+E22+E23+E24+E25+E26+E27+E28)</f>
        <v>69735.77449999998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Wallace</dc:creator>
  <cp:keywords/>
  <dc:description/>
  <cp:lastModifiedBy>Brian Wallace</cp:lastModifiedBy>
  <dcterms:created xsi:type="dcterms:W3CDTF">2024-05-14T14:18:23Z</dcterms:created>
  <dcterms:modified xsi:type="dcterms:W3CDTF">2024-05-21T04:23:58Z</dcterms:modified>
  <cp:category/>
  <cp:version/>
  <cp:contentType/>
  <cp:contentStatus/>
</cp:coreProperties>
</file>